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watson\Dropbox (NDI)\Board Reports\2022\March\"/>
    </mc:Choice>
  </mc:AlternateContent>
  <xr:revisionPtr revIDLastSave="0" documentId="13_ncr:1_{1119C8EA-400F-43BD-98E1-905FBC2DEBB8}" xr6:coauthVersionLast="47" xr6:coauthVersionMax="47" xr10:uidLastSave="{00000000-0000-0000-0000-000000000000}"/>
  <bookViews>
    <workbookView xWindow="28680" yWindow="-210" windowWidth="29040" windowHeight="1584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4" i="1" l="1"/>
  <c r="H42" i="1"/>
  <c r="H39" i="1"/>
  <c r="H38" i="1"/>
  <c r="H37" i="1"/>
  <c r="H31" i="1"/>
  <c r="H19" i="1"/>
  <c r="H10" i="1"/>
  <c r="H7" i="1"/>
  <c r="F44" i="1"/>
  <c r="F43" i="1"/>
  <c r="F42" i="1"/>
  <c r="F41" i="1"/>
  <c r="F40" i="1"/>
  <c r="F39" i="1"/>
  <c r="F38" i="1"/>
  <c r="F37" i="1"/>
  <c r="F36" i="1"/>
  <c r="F35" i="1"/>
  <c r="F34" i="1"/>
  <c r="F31" i="1"/>
  <c r="F30" i="1"/>
  <c r="F29" i="1"/>
  <c r="F26" i="1"/>
  <c r="F25" i="1"/>
  <c r="F22" i="1"/>
  <c r="F21" i="1"/>
  <c r="F20" i="1"/>
  <c r="F19" i="1"/>
  <c r="F16" i="1"/>
  <c r="F15" i="1"/>
  <c r="F11" i="1"/>
  <c r="F10" i="1"/>
  <c r="F9" i="1"/>
  <c r="F8" i="1"/>
  <c r="F7" i="1"/>
  <c r="H9" i="1"/>
  <c r="D44" i="1" l="1"/>
  <c r="D19" i="1"/>
  <c r="D22" i="1"/>
  <c r="D43" i="1"/>
  <c r="D42" i="1"/>
  <c r="D41" i="1"/>
  <c r="D40" i="1"/>
  <c r="D39" i="1"/>
  <c r="D38" i="1"/>
  <c r="D37" i="1"/>
  <c r="D36" i="1"/>
  <c r="D35" i="1"/>
  <c r="D34" i="1"/>
  <c r="D30" i="1"/>
  <c r="D31" i="1"/>
  <c r="D29" i="1"/>
  <c r="D21" i="1"/>
  <c r="J21" i="1" s="1"/>
  <c r="D26" i="1"/>
  <c r="D25" i="1"/>
  <c r="D20" i="1"/>
  <c r="D16" i="1"/>
  <c r="D15" i="1"/>
  <c r="D11" i="1"/>
  <c r="D10" i="1"/>
  <c r="D9" i="1"/>
  <c r="J9" i="1" s="1"/>
  <c r="D8" i="1"/>
  <c r="D7" i="1"/>
  <c r="D45" i="1" l="1"/>
  <c r="H17" i="1" l="1"/>
  <c r="H23" i="1" l="1"/>
  <c r="H27" i="1" l="1"/>
  <c r="H45" i="1"/>
  <c r="H32" i="1"/>
  <c r="H46" i="1" l="1"/>
  <c r="J11" i="1"/>
  <c r="H12" i="1"/>
  <c r="F12" i="1" l="1"/>
  <c r="H48" i="1"/>
  <c r="D12" i="1"/>
  <c r="J16" i="1"/>
  <c r="J22" i="1"/>
  <c r="J38" i="1"/>
  <c r="J42" i="1"/>
  <c r="J8" i="1"/>
  <c r="J29" i="1"/>
  <c r="J35" i="1"/>
  <c r="J39" i="1"/>
  <c r="J43" i="1"/>
  <c r="J10" i="1"/>
  <c r="J30" i="1"/>
  <c r="J36" i="1"/>
  <c r="J40" i="1"/>
  <c r="J20" i="1"/>
  <c r="J26" i="1"/>
  <c r="J31" i="1"/>
  <c r="J37" i="1"/>
  <c r="J41" i="1"/>
  <c r="J44" i="1"/>
  <c r="D27" i="1"/>
  <c r="J34" i="1"/>
  <c r="J19" i="1"/>
  <c r="F17" i="1"/>
  <c r="J15" i="1"/>
  <c r="J7" i="1"/>
  <c r="D32" i="1"/>
  <c r="D23" i="1"/>
  <c r="D17" i="1"/>
  <c r="F23" i="1" l="1"/>
  <c r="J32" i="1"/>
  <c r="J45" i="1"/>
  <c r="J17" i="1"/>
  <c r="F32" i="1"/>
  <c r="F45" i="1"/>
  <c r="J12" i="1"/>
  <c r="J23" i="1"/>
  <c r="J25" i="1"/>
  <c r="J27" i="1" s="1"/>
  <c r="F27" i="1"/>
  <c r="D46" i="1"/>
  <c r="F46" i="1" l="1"/>
  <c r="F48" i="1" s="1"/>
  <c r="J46" i="1"/>
  <c r="D48" i="1"/>
</calcChain>
</file>

<file path=xl/sharedStrings.xml><?xml version="1.0" encoding="utf-8"?>
<sst xmlns="http://schemas.openxmlformats.org/spreadsheetml/2006/main" count="52" uniqueCount="47">
  <si>
    <t>YTD</t>
  </si>
  <si>
    <t>Variance</t>
  </si>
  <si>
    <t>Unaudited and Preliminary</t>
  </si>
  <si>
    <t>Actual</t>
  </si>
  <si>
    <t>Income</t>
  </si>
  <si>
    <t>Total Income</t>
  </si>
  <si>
    <t>Expenses</t>
  </si>
  <si>
    <t>Personnel</t>
  </si>
  <si>
    <t>Staff</t>
  </si>
  <si>
    <t>Total</t>
  </si>
  <si>
    <t>Consultants</t>
  </si>
  <si>
    <t>Travel</t>
  </si>
  <si>
    <t>Operating</t>
  </si>
  <si>
    <t>Rent</t>
  </si>
  <si>
    <t>Telephone</t>
  </si>
  <si>
    <t>Supplies</t>
  </si>
  <si>
    <t>Dues/Subscriptions</t>
  </si>
  <si>
    <t>Insurance</t>
  </si>
  <si>
    <t>Registration Fees</t>
  </si>
  <si>
    <t>Other</t>
  </si>
  <si>
    <t>Total Expenses</t>
  </si>
  <si>
    <t xml:space="preserve"> Budget</t>
  </si>
  <si>
    <t>Budget</t>
  </si>
  <si>
    <t>over (under)</t>
  </si>
  <si>
    <t>National Disability Institute</t>
  </si>
  <si>
    <t>Federal Grants &amp; Contracts</t>
  </si>
  <si>
    <t>Other Income</t>
  </si>
  <si>
    <t>Travel &amp; Meeting Expenses</t>
  </si>
  <si>
    <t>Project Consulting Fees</t>
  </si>
  <si>
    <t>Other Professional Fees</t>
  </si>
  <si>
    <t>Meetings &amp; Conference Expense</t>
  </si>
  <si>
    <t>Disability Accomodations</t>
  </si>
  <si>
    <t>Printing &amp; Reproduction</t>
  </si>
  <si>
    <t>Direct Program Expense</t>
  </si>
  <si>
    <t>Program Expenses</t>
  </si>
  <si>
    <t>Equipment Lease</t>
  </si>
  <si>
    <t>Postage &amp; Courier</t>
  </si>
  <si>
    <t>Communications &amp; Internet</t>
  </si>
  <si>
    <t>Technology</t>
  </si>
  <si>
    <t>Website Development &amp; Support</t>
  </si>
  <si>
    <t xml:space="preserve">Benefits </t>
  </si>
  <si>
    <t>State Grants &amp; Contracts</t>
  </si>
  <si>
    <t>Private Grants &amp; Donations</t>
  </si>
  <si>
    <t>Subcontractors</t>
  </si>
  <si>
    <t xml:space="preserve"> Net Operating Surplus(Deficit) </t>
  </si>
  <si>
    <t>Rollover Funds (Donor Restricted)</t>
  </si>
  <si>
    <t>Three months ending March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</si>
</sst>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"/>
    <numFmt numFmtId="166" formatCode="0_);\(0\)"/>
    <numFmt numFmtId="167" formatCode="_(&quot;$&quot;* #,##0_);_(&quot;$&quot;* \(#,##0\);_(&quot;$&quot;* &quot;-&quot;??_);_(@_)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14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1"/>
      <name val="Cambria"/>
      <family val="1"/>
      <scheme val="major"/>
    </font>
    <font>
      <i/>
      <sz val="11"/>
      <name val="Calibri"/>
      <family val="2"/>
      <scheme val="minor"/>
    </font>
    <font>
      <sz val="12"/>
      <color theme="1"/>
      <name val="Cambria"/>
      <family val="1"/>
      <scheme val="maj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2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Border="1"/>
    <xf numFmtId="0" fontId="4" fillId="0" borderId="0" xfId="0" applyFont="1"/>
    <xf numFmtId="0" fontId="5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/>
    <xf numFmtId="0" fontId="1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2" xfId="0" applyFont="1" applyBorder="1"/>
    <xf numFmtId="0" fontId="9" fillId="0" borderId="2" xfId="0" applyFont="1" applyBorder="1"/>
    <xf numFmtId="0" fontId="2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1" fillId="0" borderId="0" xfId="0" applyFont="1"/>
    <xf numFmtId="0" fontId="0" fillId="0" borderId="0" xfId="0" applyFont="1"/>
    <xf numFmtId="37" fontId="0" fillId="0" borderId="0" xfId="0" applyNumberFormat="1" applyFont="1"/>
    <xf numFmtId="37" fontId="12" fillId="0" borderId="0" xfId="0" applyNumberFormat="1" applyFont="1"/>
    <xf numFmtId="37" fontId="0" fillId="0" borderId="2" xfId="0" applyNumberFormat="1" applyFont="1" applyBorder="1"/>
    <xf numFmtId="0" fontId="2" fillId="0" borderId="0" xfId="0" applyFont="1"/>
    <xf numFmtId="0" fontId="7" fillId="0" borderId="0" xfId="0" applyFont="1"/>
    <xf numFmtId="37" fontId="0" fillId="0" borderId="0" xfId="0" applyNumberFormat="1" applyFont="1" applyBorder="1"/>
    <xf numFmtId="164" fontId="0" fillId="0" borderId="0" xfId="0" applyNumberFormat="1" applyFont="1" applyBorder="1"/>
    <xf numFmtId="0" fontId="2" fillId="0" borderId="0" xfId="0" applyFont="1" applyBorder="1"/>
    <xf numFmtId="165" fontId="11" fillId="0" borderId="0" xfId="0" applyNumberFormat="1" applyFont="1"/>
    <xf numFmtId="165" fontId="14" fillId="0" borderId="0" xfId="0" applyNumberFormat="1" applyFont="1"/>
    <xf numFmtId="165" fontId="15" fillId="0" borderId="0" xfId="0" applyNumberFormat="1" applyFont="1"/>
    <xf numFmtId="37" fontId="0" fillId="0" borderId="0" xfId="0" quotePrefix="1" applyNumberFormat="1" applyFont="1"/>
    <xf numFmtId="3" fontId="0" fillId="0" borderId="0" xfId="0" applyNumberFormat="1" applyFont="1" applyBorder="1"/>
    <xf numFmtId="37" fontId="2" fillId="0" borderId="0" xfId="0" applyNumberFormat="1" applyFont="1" applyBorder="1"/>
    <xf numFmtId="37" fontId="12" fillId="0" borderId="2" xfId="0" applyNumberFormat="1" applyFont="1" applyBorder="1"/>
    <xf numFmtId="37" fontId="16" fillId="0" borderId="0" xfId="0" applyNumberFormat="1" applyFont="1"/>
    <xf numFmtId="0" fontId="0" fillId="0" borderId="0" xfId="0" applyFont="1" applyBorder="1"/>
    <xf numFmtId="1" fontId="12" fillId="0" borderId="0" xfId="0" applyNumberFormat="1" applyFont="1" applyBorder="1" applyAlignment="1"/>
    <xf numFmtId="167" fontId="12" fillId="0" borderId="0" xfId="2" applyNumberFormat="1" applyFont="1"/>
    <xf numFmtId="37" fontId="0" fillId="0" borderId="2" xfId="0" quotePrefix="1" applyNumberFormat="1" applyFont="1" applyBorder="1"/>
    <xf numFmtId="166" fontId="0" fillId="0" borderId="0" xfId="0" applyNumberFormat="1" applyFont="1" applyBorder="1" applyAlignment="1">
      <alignment horizontal="center"/>
    </xf>
    <xf numFmtId="0" fontId="0" fillId="0" borderId="0" xfId="0" applyBorder="1"/>
    <xf numFmtId="3" fontId="0" fillId="0" borderId="0" xfId="0" quotePrefix="1" applyNumberFormat="1" applyFont="1" applyBorder="1"/>
    <xf numFmtId="37" fontId="0" fillId="0" borderId="0" xfId="0" applyNumberFormat="1" applyBorder="1"/>
    <xf numFmtId="3" fontId="13" fillId="0" borderId="0" xfId="0" applyNumberFormat="1" applyFont="1" applyBorder="1"/>
    <xf numFmtId="0" fontId="13" fillId="0" borderId="0" xfId="0" applyFont="1" applyBorder="1"/>
    <xf numFmtId="3" fontId="0" fillId="0" borderId="0" xfId="0" applyNumberFormat="1" applyFont="1" applyFill="1" applyBorder="1"/>
    <xf numFmtId="165" fontId="0" fillId="0" borderId="0" xfId="0" applyNumberFormat="1" applyFont="1" applyBorder="1"/>
    <xf numFmtId="165" fontId="13" fillId="0" borderId="0" xfId="0" applyNumberFormat="1" applyFont="1" applyBorder="1"/>
    <xf numFmtId="37" fontId="12" fillId="0" borderId="0" xfId="0" applyNumberFormat="1" applyFont="1" applyBorder="1"/>
    <xf numFmtId="37" fontId="0" fillId="2" borderId="2" xfId="0" applyNumberFormat="1" applyFont="1" applyFill="1" applyBorder="1"/>
    <xf numFmtId="43" fontId="0" fillId="0" borderId="2" xfId="1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watson/Dropbox%20(NDI)/2014%20Budgets/NDI/2022%20Budget/2022%20Budget%20-%20Preliminary%20-%20V3%20-%20For%20Board%20Meeting%2012.14.21%20Board%20Approv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22  Budget-Exp Category"/>
      <sheetName val="FY 22 Summary by Cost Center"/>
      <sheetName val="ABLE-NRC"/>
      <sheetName val="ADEN"/>
      <sheetName val="AT Loan"/>
      <sheetName val="Bank of America"/>
      <sheetName val="CalABLE"/>
      <sheetName val="CDICD"/>
      <sheetName val="Citi"/>
      <sheetName val="Equity Initiative"/>
      <sheetName val="Experian"/>
      <sheetName val="Fee for Service"/>
      <sheetName val="Grants &amp; Cont. Develop."/>
      <sheetName val="Illinois DDC"/>
      <sheetName val="JPMC-Fin Incl"/>
      <sheetName val="NIDILRR"/>
      <sheetName val="SAFAL"/>
      <sheetName val="SBA"/>
      <sheetName val="SU-CDIEPR"/>
      <sheetName val="Wells Fargo"/>
      <sheetName val="WINTAC QM"/>
      <sheetName val="WIOA Ctr"/>
      <sheetName val="M&amp;G Exp"/>
      <sheetName val="LABOR Jan-March2022"/>
      <sheetName val="LABOR April -June 2022"/>
      <sheetName val="July-Sept 2022"/>
      <sheetName val="Oct - Dec 2022"/>
    </sheetNames>
    <sheetDataSet>
      <sheetData sheetId="0">
        <row r="12">
          <cell r="B12">
            <v>2603008.2199999997</v>
          </cell>
        </row>
        <row r="13">
          <cell r="B13">
            <v>170168.87</v>
          </cell>
        </row>
        <row r="14">
          <cell r="B14">
            <v>1685750</v>
          </cell>
        </row>
        <row r="15">
          <cell r="B15">
            <v>716752</v>
          </cell>
        </row>
        <row r="16">
          <cell r="B16">
            <v>260000</v>
          </cell>
        </row>
      </sheetData>
      <sheetData sheetId="1">
        <row r="14">
          <cell r="C14">
            <v>3007508.0407929998</v>
          </cell>
        </row>
        <row r="15">
          <cell r="C15">
            <v>601501.60815860005</v>
          </cell>
        </row>
        <row r="16">
          <cell r="C16">
            <v>600</v>
          </cell>
        </row>
        <row r="17">
          <cell r="C17">
            <v>3970</v>
          </cell>
        </row>
        <row r="18">
          <cell r="C18">
            <v>34898</v>
          </cell>
        </row>
        <row r="19">
          <cell r="C19">
            <v>930</v>
          </cell>
        </row>
        <row r="20">
          <cell r="C20">
            <v>1680.0000000000002</v>
          </cell>
        </row>
        <row r="21">
          <cell r="C21">
            <v>47342</v>
          </cell>
        </row>
        <row r="22">
          <cell r="C22">
            <v>5600</v>
          </cell>
        </row>
        <row r="23">
          <cell r="C23">
            <v>-1000</v>
          </cell>
        </row>
        <row r="24">
          <cell r="C24">
            <v>2430</v>
          </cell>
        </row>
        <row r="25">
          <cell r="C25">
            <v>800</v>
          </cell>
        </row>
        <row r="26">
          <cell r="C26">
            <v>2850</v>
          </cell>
        </row>
        <row r="27">
          <cell r="C27">
            <v>3380</v>
          </cell>
        </row>
        <row r="28">
          <cell r="C28">
            <v>18500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5050</v>
          </cell>
        </row>
        <row r="32">
          <cell r="C32">
            <v>168000</v>
          </cell>
        </row>
        <row r="33">
          <cell r="C33">
            <v>4924</v>
          </cell>
        </row>
        <row r="34">
          <cell r="C34">
            <v>3038</v>
          </cell>
        </row>
        <row r="35">
          <cell r="C35">
            <v>61166</v>
          </cell>
        </row>
        <row r="36">
          <cell r="C36">
            <v>5950</v>
          </cell>
        </row>
        <row r="37">
          <cell r="C37">
            <v>14800</v>
          </cell>
        </row>
        <row r="38">
          <cell r="C38">
            <v>2000</v>
          </cell>
        </row>
        <row r="39">
          <cell r="C39">
            <v>34000</v>
          </cell>
        </row>
        <row r="40">
          <cell r="C40">
            <v>3000</v>
          </cell>
        </row>
        <row r="41">
          <cell r="C41">
            <v>49200</v>
          </cell>
        </row>
        <row r="42">
          <cell r="C42">
            <v>10900</v>
          </cell>
        </row>
        <row r="43">
          <cell r="C43">
            <v>5500</v>
          </cell>
        </row>
        <row r="44">
          <cell r="C44">
            <v>55250</v>
          </cell>
        </row>
        <row r="45">
          <cell r="C45">
            <v>176007</v>
          </cell>
        </row>
        <row r="46">
          <cell r="C46">
            <v>0</v>
          </cell>
        </row>
        <row r="47">
          <cell r="C47">
            <v>726000</v>
          </cell>
        </row>
        <row r="48">
          <cell r="C48">
            <v>50</v>
          </cell>
        </row>
        <row r="49">
          <cell r="C49">
            <v>11000</v>
          </cell>
        </row>
        <row r="50">
          <cell r="C50">
            <v>3500</v>
          </cell>
        </row>
        <row r="51">
          <cell r="C51">
            <v>1000</v>
          </cell>
        </row>
        <row r="52">
          <cell r="C52">
            <v>24500</v>
          </cell>
        </row>
        <row r="53">
          <cell r="C53">
            <v>20000</v>
          </cell>
        </row>
        <row r="54">
          <cell r="C54">
            <v>6320</v>
          </cell>
        </row>
        <row r="55">
          <cell r="C55">
            <v>60682</v>
          </cell>
        </row>
        <row r="56">
          <cell r="C56">
            <v>0</v>
          </cell>
        </row>
        <row r="57">
          <cell r="C57">
            <v>7500</v>
          </cell>
        </row>
        <row r="58">
          <cell r="C58">
            <v>20000</v>
          </cell>
        </row>
        <row r="59">
          <cell r="C59">
            <v>300</v>
          </cell>
        </row>
        <row r="60">
          <cell r="C60">
            <v>10</v>
          </cell>
        </row>
        <row r="61">
          <cell r="C61">
            <v>0</v>
          </cell>
        </row>
        <row r="62">
          <cell r="C62">
            <v>1250</v>
          </cell>
        </row>
        <row r="63">
          <cell r="C63">
            <v>41500</v>
          </cell>
        </row>
        <row r="64">
          <cell r="C64">
            <v>121619.79000000001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4"/>
  <sheetViews>
    <sheetView tabSelected="1" topLeftCell="A13" workbookViewId="0">
      <selection activeCell="H45" sqref="H45"/>
    </sheetView>
  </sheetViews>
  <sheetFormatPr defaultRowHeight="15.75" x14ac:dyDescent="0.25"/>
  <cols>
    <col min="1" max="2" width="8.625" customWidth="1"/>
    <col min="3" max="3" width="21.625" customWidth="1"/>
    <col min="4" max="4" width="12.75" customWidth="1"/>
    <col min="5" max="5" width="3.625" customWidth="1"/>
    <col min="6" max="6" width="9.625" customWidth="1"/>
    <col min="7" max="7" width="3.625" customWidth="1"/>
    <col min="8" max="8" width="13.75" bestFit="1" customWidth="1"/>
    <col min="9" max="9" width="3.625" customWidth="1"/>
    <col min="10" max="10" width="12.625" customWidth="1"/>
  </cols>
  <sheetData>
    <row r="1" spans="1:13" ht="18.75" x14ac:dyDescent="0.3">
      <c r="A1" s="1"/>
      <c r="B1" s="1"/>
      <c r="C1" s="2"/>
      <c r="D1" s="3" t="s">
        <v>24</v>
      </c>
      <c r="E1" s="4"/>
      <c r="F1" s="5"/>
      <c r="G1" s="5"/>
      <c r="H1" s="5"/>
      <c r="I1" s="2"/>
      <c r="J1" s="2"/>
    </row>
    <row r="2" spans="1:13" ht="18.75" x14ac:dyDescent="0.3">
      <c r="A2" s="1"/>
      <c r="B2" s="1"/>
      <c r="C2" s="2"/>
      <c r="D2" s="3" t="s">
        <v>46</v>
      </c>
      <c r="E2" s="6"/>
      <c r="F2" s="5"/>
      <c r="G2" s="5"/>
      <c r="H2" s="5"/>
      <c r="I2" s="2"/>
      <c r="J2" s="2"/>
    </row>
    <row r="3" spans="1:13" ht="18.75" x14ac:dyDescent="0.3">
      <c r="A3" s="1"/>
      <c r="B3" s="1"/>
      <c r="C3" s="2"/>
      <c r="D3" s="3"/>
      <c r="E3" s="4"/>
      <c r="F3" s="7"/>
      <c r="G3" s="7"/>
      <c r="H3" s="7"/>
      <c r="I3" s="8"/>
      <c r="J3" s="9"/>
    </row>
    <row r="4" spans="1:13" x14ac:dyDescent="0.25">
      <c r="A4" s="10"/>
      <c r="B4" s="10"/>
      <c r="C4" s="10"/>
      <c r="D4" s="11" t="s">
        <v>21</v>
      </c>
      <c r="E4" s="12"/>
      <c r="F4" s="12" t="s">
        <v>0</v>
      </c>
      <c r="G4" s="11"/>
      <c r="H4" s="12" t="s">
        <v>0</v>
      </c>
      <c r="I4" s="11"/>
      <c r="J4" s="11" t="s">
        <v>1</v>
      </c>
    </row>
    <row r="5" spans="1:13" x14ac:dyDescent="0.25">
      <c r="A5" s="13" t="s">
        <v>2</v>
      </c>
      <c r="B5" s="14"/>
      <c r="C5" s="14"/>
      <c r="D5" s="15">
        <v>2022</v>
      </c>
      <c r="E5" s="16"/>
      <c r="F5" s="16" t="s">
        <v>22</v>
      </c>
      <c r="G5" s="16"/>
      <c r="H5" s="16" t="s">
        <v>3</v>
      </c>
      <c r="I5" s="15"/>
      <c r="J5" s="15" t="s">
        <v>23</v>
      </c>
    </row>
    <row r="6" spans="1:13" x14ac:dyDescent="0.25">
      <c r="A6" s="23" t="s">
        <v>4</v>
      </c>
      <c r="B6" s="18"/>
      <c r="C6" s="18"/>
      <c r="D6" s="17"/>
      <c r="E6" s="17"/>
      <c r="F6" s="17"/>
      <c r="G6" s="17"/>
      <c r="H6" s="17"/>
      <c r="I6" s="17"/>
      <c r="J6" s="17"/>
    </row>
    <row r="7" spans="1:13" x14ac:dyDescent="0.25">
      <c r="A7" s="18" t="s">
        <v>25</v>
      </c>
      <c r="B7" s="18"/>
      <c r="C7" s="18"/>
      <c r="D7" s="37">
        <f>+'[1]FY22  Budget-Exp Category'!$B$12</f>
        <v>2603008.2199999997</v>
      </c>
      <c r="E7" s="19"/>
      <c r="F7" s="19">
        <f>+D7/12*3</f>
        <v>650752.05499999993</v>
      </c>
      <c r="G7" s="19"/>
      <c r="H7" s="19">
        <f>84129.49+469013.15</f>
        <v>553142.64</v>
      </c>
      <c r="I7" s="19"/>
      <c r="J7" s="19">
        <f>+H7-F7</f>
        <v>-97609.414999999921</v>
      </c>
    </row>
    <row r="8" spans="1:13" x14ac:dyDescent="0.25">
      <c r="A8" s="18" t="s">
        <v>41</v>
      </c>
      <c r="B8" s="18"/>
      <c r="C8" s="18"/>
      <c r="D8" s="20">
        <f>+'[1]FY22  Budget-Exp Category'!$B$13</f>
        <v>170168.87</v>
      </c>
      <c r="E8" s="30"/>
      <c r="F8" s="19">
        <f>+D8/12*3</f>
        <v>42542.217499999999</v>
      </c>
      <c r="G8" s="19"/>
      <c r="H8" s="19">
        <v>189076.16</v>
      </c>
      <c r="I8" s="30"/>
      <c r="J8" s="19">
        <f t="shared" ref="J8:J11" si="0">+H8-F8</f>
        <v>146533.9425</v>
      </c>
    </row>
    <row r="9" spans="1:13" x14ac:dyDescent="0.25">
      <c r="A9" s="18" t="s">
        <v>42</v>
      </c>
      <c r="B9" s="18"/>
      <c r="C9" s="18"/>
      <c r="D9" s="20">
        <f>+'[1]FY22  Budget-Exp Category'!$B$14</f>
        <v>1685750</v>
      </c>
      <c r="E9" s="30"/>
      <c r="F9" s="19">
        <f>+D9/12*3</f>
        <v>421437.5</v>
      </c>
      <c r="G9" s="19"/>
      <c r="H9" s="19">
        <f>1000000+58500+2500</f>
        <v>1061000</v>
      </c>
      <c r="I9" s="30"/>
      <c r="J9" s="19">
        <f t="shared" si="0"/>
        <v>639562.5</v>
      </c>
    </row>
    <row r="10" spans="1:13" x14ac:dyDescent="0.25">
      <c r="A10" s="18" t="s">
        <v>26</v>
      </c>
      <c r="B10" s="18"/>
      <c r="C10" s="18"/>
      <c r="D10" s="20">
        <f>+'[1]FY22  Budget-Exp Category'!$B$15</f>
        <v>716752</v>
      </c>
      <c r="E10" s="19"/>
      <c r="F10" s="19">
        <f>+D10/12*3</f>
        <v>179188</v>
      </c>
      <c r="G10" s="19"/>
      <c r="H10" s="19">
        <f>278.74-22767.49+106658+9873+1800</f>
        <v>95842.25</v>
      </c>
      <c r="I10" s="19"/>
      <c r="J10" s="19">
        <f t="shared" si="0"/>
        <v>-83345.75</v>
      </c>
    </row>
    <row r="11" spans="1:13" x14ac:dyDescent="0.25">
      <c r="A11" s="18" t="s">
        <v>45</v>
      </c>
      <c r="B11" s="18"/>
      <c r="C11" s="18"/>
      <c r="D11" s="33">
        <f>+'[1]FY22  Budget-Exp Category'!$B$16</f>
        <v>260000</v>
      </c>
      <c r="E11" s="21"/>
      <c r="F11" s="21">
        <f>+D11/12*3</f>
        <v>65000</v>
      </c>
      <c r="G11" s="21"/>
      <c r="H11" s="21"/>
      <c r="I11" s="21"/>
      <c r="J11" s="21">
        <f t="shared" si="0"/>
        <v>-65000</v>
      </c>
      <c r="M11" s="24"/>
    </row>
    <row r="12" spans="1:13" ht="16.5" customHeight="1" x14ac:dyDescent="0.25">
      <c r="A12" s="22" t="s">
        <v>5</v>
      </c>
      <c r="B12" s="18"/>
      <c r="C12" s="18"/>
      <c r="D12" s="19">
        <f>SUM(D7:D11)</f>
        <v>5435679.0899999999</v>
      </c>
      <c r="E12" s="19"/>
      <c r="F12" s="19">
        <f>SUM(F7:F11)</f>
        <v>1358919.7725</v>
      </c>
      <c r="G12" s="19"/>
      <c r="H12" s="19">
        <f>SUM(H7:H11)</f>
        <v>1899061.05</v>
      </c>
      <c r="I12" s="19"/>
      <c r="J12" s="19">
        <f>SUM(J7:J11)</f>
        <v>540141.27750000008</v>
      </c>
    </row>
    <row r="13" spans="1:13" x14ac:dyDescent="0.25">
      <c r="A13" s="23" t="s">
        <v>6</v>
      </c>
      <c r="B13" s="18"/>
      <c r="C13" s="18"/>
      <c r="D13" s="19"/>
      <c r="E13" s="19"/>
      <c r="F13" s="19"/>
      <c r="G13" s="19"/>
      <c r="H13" s="19"/>
      <c r="I13" s="19"/>
      <c r="J13" s="19"/>
    </row>
    <row r="14" spans="1:13" x14ac:dyDescent="0.25">
      <c r="A14" s="22" t="s">
        <v>7</v>
      </c>
      <c r="B14" s="18"/>
      <c r="C14" s="18"/>
      <c r="D14" s="19"/>
      <c r="E14" s="19"/>
      <c r="F14" s="19"/>
      <c r="G14" s="19"/>
      <c r="H14" s="19"/>
      <c r="I14" s="19"/>
      <c r="J14" s="19"/>
    </row>
    <row r="15" spans="1:13" x14ac:dyDescent="0.25">
      <c r="A15" s="18"/>
      <c r="B15" s="18" t="s">
        <v>8</v>
      </c>
      <c r="C15" s="18"/>
      <c r="D15" s="19">
        <f>+'[1]FY 22 Summary by Cost Center'!$C$14</f>
        <v>3007508.0407929998</v>
      </c>
      <c r="E15" s="19"/>
      <c r="F15" s="19">
        <f>+D15/12*3</f>
        <v>751877.01019824995</v>
      </c>
      <c r="G15" s="19"/>
      <c r="H15" s="24">
        <v>654768.97</v>
      </c>
      <c r="I15" s="19"/>
      <c r="J15" s="24">
        <f t="shared" ref="J15:J44" si="1">+H15-F15</f>
        <v>-97108.040198249975</v>
      </c>
    </row>
    <row r="16" spans="1:13" x14ac:dyDescent="0.25">
      <c r="A16" s="18"/>
      <c r="B16" s="18" t="s">
        <v>40</v>
      </c>
      <c r="C16" s="18"/>
      <c r="D16" s="21">
        <f>+'[1]FY 22 Summary by Cost Center'!$C$15</f>
        <v>601501.60815860005</v>
      </c>
      <c r="E16" s="21"/>
      <c r="F16" s="21">
        <f>+D16/12*3</f>
        <v>150375.40203965001</v>
      </c>
      <c r="G16" s="21"/>
      <c r="H16" s="21">
        <v>129562.01</v>
      </c>
      <c r="I16" s="21"/>
      <c r="J16" s="24">
        <f t="shared" si="1"/>
        <v>-20813.392039650018</v>
      </c>
    </row>
    <row r="17" spans="1:10" x14ac:dyDescent="0.25">
      <c r="A17" s="18"/>
      <c r="B17" s="18" t="s">
        <v>9</v>
      </c>
      <c r="C17" s="18"/>
      <c r="D17" s="19">
        <f>+D15+D16</f>
        <v>3609009.6489515998</v>
      </c>
      <c r="E17" s="19"/>
      <c r="F17" s="19">
        <f>SUM(F15:F16)</f>
        <v>902252.41223789996</v>
      </c>
      <c r="G17" s="19"/>
      <c r="H17" s="19">
        <f>SUM(H15:H16)</f>
        <v>784330.98</v>
      </c>
      <c r="I17" s="19"/>
      <c r="J17" s="19">
        <f>SUM(J15:J16)</f>
        <v>-117921.43223789999</v>
      </c>
    </row>
    <row r="18" spans="1:10" x14ac:dyDescent="0.25">
      <c r="A18" s="22" t="s">
        <v>10</v>
      </c>
      <c r="B18" s="18"/>
      <c r="C18" s="18"/>
      <c r="D18" s="19"/>
      <c r="E18" s="19"/>
      <c r="F18" s="19"/>
      <c r="G18" s="19"/>
      <c r="H18" s="24"/>
      <c r="I18" s="19"/>
      <c r="J18" s="24"/>
    </row>
    <row r="19" spans="1:10" x14ac:dyDescent="0.25">
      <c r="A19" s="18"/>
      <c r="B19" s="18" t="s">
        <v>29</v>
      </c>
      <c r="C19" s="18"/>
      <c r="D19" s="19">
        <f>+'[1]FY 22 Summary by Cost Center'!$C$45+'[1]FY 22 Summary by Cost Center'!$C$39+'[1]FY 22 Summary by Cost Center'!$C$38</f>
        <v>212007</v>
      </c>
      <c r="E19" s="19"/>
      <c r="F19" s="19">
        <f>+D19/12*3</f>
        <v>53001.75</v>
      </c>
      <c r="G19" s="19"/>
      <c r="H19" s="24">
        <f>4137.69+375</f>
        <v>4512.6899999999996</v>
      </c>
      <c r="I19" s="19"/>
      <c r="J19" s="24">
        <f t="shared" si="1"/>
        <v>-48489.06</v>
      </c>
    </row>
    <row r="20" spans="1:10" x14ac:dyDescent="0.25">
      <c r="A20" s="18"/>
      <c r="B20" s="18" t="s">
        <v>28</v>
      </c>
      <c r="C20" s="18"/>
      <c r="D20" s="19">
        <f>+'[1]FY 22 Summary by Cost Center'!$C$44</f>
        <v>55250</v>
      </c>
      <c r="E20" s="19"/>
      <c r="F20" s="19">
        <f>+D20/12*3</f>
        <v>13812.5</v>
      </c>
      <c r="G20" s="19"/>
      <c r="H20" s="24">
        <v>31092.07</v>
      </c>
      <c r="I20" s="30"/>
      <c r="J20" s="24">
        <f t="shared" si="1"/>
        <v>17279.57</v>
      </c>
    </row>
    <row r="21" spans="1:10" x14ac:dyDescent="0.25">
      <c r="A21" s="18"/>
      <c r="B21" s="18" t="s">
        <v>43</v>
      </c>
      <c r="C21" s="18"/>
      <c r="D21" s="19">
        <f>+'[1]FY 22 Summary by Cost Center'!$C$47</f>
        <v>726000</v>
      </c>
      <c r="E21" s="19"/>
      <c r="F21" s="19">
        <f>+D21/12*3</f>
        <v>181500</v>
      </c>
      <c r="G21" s="19"/>
      <c r="H21" s="24">
        <v>207500</v>
      </c>
      <c r="I21" s="30"/>
      <c r="J21" s="24">
        <f t="shared" si="1"/>
        <v>26000</v>
      </c>
    </row>
    <row r="22" spans="1:10" x14ac:dyDescent="0.25">
      <c r="A22" s="18"/>
      <c r="B22" s="18" t="s">
        <v>39</v>
      </c>
      <c r="C22" s="18"/>
      <c r="D22" s="21">
        <f>+'[1]FY 22 Summary by Cost Center'!$C$40+'[1]FY 22 Summary by Cost Center'!$C$41</f>
        <v>52200</v>
      </c>
      <c r="E22" s="21"/>
      <c r="F22" s="21">
        <f>+D22/12*3</f>
        <v>13050</v>
      </c>
      <c r="G22" s="21"/>
      <c r="H22" s="21">
        <v>17334.38</v>
      </c>
      <c r="I22" s="21"/>
      <c r="J22" s="24">
        <f t="shared" si="1"/>
        <v>4284.380000000001</v>
      </c>
    </row>
    <row r="23" spans="1:10" x14ac:dyDescent="0.25">
      <c r="A23" s="18"/>
      <c r="B23" s="18" t="s">
        <v>9</v>
      </c>
      <c r="C23" s="18"/>
      <c r="D23" s="19">
        <f>SUM(D19:D22)</f>
        <v>1045457</v>
      </c>
      <c r="E23" s="19"/>
      <c r="F23" s="19">
        <f>SUM(F19:F22)</f>
        <v>261364.25</v>
      </c>
      <c r="G23" s="19"/>
      <c r="H23" s="19">
        <f>SUM(H19:H22)</f>
        <v>260439.14</v>
      </c>
      <c r="I23" s="19"/>
      <c r="J23" s="19">
        <f>SUM(J19:J22)</f>
        <v>-925.10999999999694</v>
      </c>
    </row>
    <row r="24" spans="1:10" x14ac:dyDescent="0.25">
      <c r="A24" s="22" t="s">
        <v>27</v>
      </c>
      <c r="B24" s="18"/>
      <c r="C24" s="18"/>
      <c r="D24" s="19"/>
      <c r="E24" s="19"/>
      <c r="F24" s="19"/>
      <c r="G24" s="19"/>
      <c r="H24" s="19"/>
      <c r="I24" s="19"/>
      <c r="J24" s="24"/>
    </row>
    <row r="25" spans="1:10" x14ac:dyDescent="0.25">
      <c r="A25" s="18"/>
      <c r="B25" s="18" t="s">
        <v>11</v>
      </c>
      <c r="C25" s="18"/>
      <c r="D25" s="19">
        <f>+'[1]FY 22 Summary by Cost Center'!$C$53</f>
        <v>20000</v>
      </c>
      <c r="E25" s="19"/>
      <c r="F25" s="19">
        <f>+D25/12*3</f>
        <v>5000</v>
      </c>
      <c r="G25" s="19"/>
      <c r="H25" s="24">
        <v>365.78</v>
      </c>
      <c r="I25" s="19"/>
      <c r="J25" s="24">
        <f t="shared" si="1"/>
        <v>-4634.22</v>
      </c>
    </row>
    <row r="26" spans="1:10" x14ac:dyDescent="0.25">
      <c r="A26" s="18"/>
      <c r="B26" s="18" t="s">
        <v>30</v>
      </c>
      <c r="C26" s="18"/>
      <c r="D26" s="21">
        <f>+'[1]FY 22 Summary by Cost Center'!$C$54</f>
        <v>6320</v>
      </c>
      <c r="E26" s="21"/>
      <c r="F26" s="21">
        <f>+D26/12*3</f>
        <v>1580</v>
      </c>
      <c r="G26" s="21"/>
      <c r="H26" s="21">
        <v>13605</v>
      </c>
      <c r="I26" s="21"/>
      <c r="J26" s="24">
        <f t="shared" si="1"/>
        <v>12025</v>
      </c>
    </row>
    <row r="27" spans="1:10" x14ac:dyDescent="0.25">
      <c r="A27" s="18"/>
      <c r="B27" s="35" t="s">
        <v>9</v>
      </c>
      <c r="C27" s="35"/>
      <c r="D27" s="19">
        <f>SUM(D25:D26)</f>
        <v>26320</v>
      </c>
      <c r="E27" s="24"/>
      <c r="F27" s="19">
        <f>SUM(F25:F26)</f>
        <v>6580</v>
      </c>
      <c r="G27" s="19"/>
      <c r="H27" s="19">
        <f>SUM(H25:H26)</f>
        <v>13970.78</v>
      </c>
      <c r="I27" s="24"/>
      <c r="J27" s="19">
        <f>SUM(J25:J26)</f>
        <v>7390.78</v>
      </c>
    </row>
    <row r="28" spans="1:10" x14ac:dyDescent="0.25">
      <c r="A28" s="26" t="s">
        <v>34</v>
      </c>
      <c r="B28" s="35"/>
      <c r="C28" s="35"/>
      <c r="D28" s="19"/>
      <c r="E28" s="24"/>
      <c r="F28" s="32"/>
      <c r="G28" s="19"/>
      <c r="H28" s="24"/>
      <c r="I28" s="24"/>
      <c r="J28" s="24"/>
    </row>
    <row r="29" spans="1:10" x14ac:dyDescent="0.25">
      <c r="A29" s="18"/>
      <c r="B29" s="18" t="s">
        <v>31</v>
      </c>
      <c r="C29" s="18"/>
      <c r="D29" s="19">
        <f>+'[1]FY 22 Summary by Cost Center'!$C$55</f>
        <v>60682</v>
      </c>
      <c r="E29" s="19"/>
      <c r="F29" s="19">
        <f>+D29/12*3</f>
        <v>15170.5</v>
      </c>
      <c r="G29" s="19"/>
      <c r="H29" s="24">
        <v>7507.03</v>
      </c>
      <c r="I29" s="19"/>
      <c r="J29" s="24">
        <f t="shared" si="1"/>
        <v>-7663.47</v>
      </c>
    </row>
    <row r="30" spans="1:10" x14ac:dyDescent="0.25">
      <c r="A30" s="18"/>
      <c r="B30" s="18" t="s">
        <v>32</v>
      </c>
      <c r="C30" s="18"/>
      <c r="D30" s="19">
        <f>+'[1]FY 22 Summary by Cost Center'!$C$22</f>
        <v>5600</v>
      </c>
      <c r="E30" s="19"/>
      <c r="F30" s="19">
        <f>+D30/12*3</f>
        <v>1400</v>
      </c>
      <c r="G30" s="19"/>
      <c r="H30" s="24">
        <v>229.05</v>
      </c>
      <c r="I30" s="30"/>
      <c r="J30" s="24">
        <f t="shared" si="1"/>
        <v>-1170.95</v>
      </c>
    </row>
    <row r="31" spans="1:10" x14ac:dyDescent="0.25">
      <c r="A31" s="18"/>
      <c r="B31" s="18" t="s">
        <v>33</v>
      </c>
      <c r="C31" s="18"/>
      <c r="D31" s="21">
        <f>+'[1]FY 22 Summary by Cost Center'!$C$64+'[1]FY 22 Summary by Cost Center'!$C$59</f>
        <v>121919.79000000001</v>
      </c>
      <c r="E31" s="21"/>
      <c r="F31" s="21">
        <f>+D31/12*3</f>
        <v>30479.947500000002</v>
      </c>
      <c r="G31" s="21"/>
      <c r="H31" s="49">
        <f>3500+914.21+1297.34</f>
        <v>5711.55</v>
      </c>
      <c r="I31" s="38"/>
      <c r="J31" s="24">
        <f t="shared" si="1"/>
        <v>-24768.397500000003</v>
      </c>
    </row>
    <row r="32" spans="1:10" x14ac:dyDescent="0.25">
      <c r="A32" s="18"/>
      <c r="B32" s="18" t="s">
        <v>9</v>
      </c>
      <c r="C32" s="18"/>
      <c r="D32" s="19">
        <f>SUM(D29:D31)</f>
        <v>188201.79</v>
      </c>
      <c r="E32" s="19"/>
      <c r="F32" s="19">
        <f>SUM(F29:F31)</f>
        <v>47050.447500000002</v>
      </c>
      <c r="G32" s="19"/>
      <c r="H32" s="19">
        <f>SUM(H29:H31)</f>
        <v>13447.630000000001</v>
      </c>
      <c r="I32" s="19"/>
      <c r="J32" s="19">
        <f>SUM(J29:J31)</f>
        <v>-33602.817500000005</v>
      </c>
    </row>
    <row r="33" spans="1:10" x14ac:dyDescent="0.25">
      <c r="A33" s="22" t="s">
        <v>12</v>
      </c>
      <c r="B33" s="18"/>
      <c r="C33" s="18"/>
      <c r="D33" s="19"/>
      <c r="E33" s="19"/>
      <c r="F33" s="19"/>
      <c r="G33" s="19"/>
      <c r="H33" s="19"/>
      <c r="I33" s="19"/>
      <c r="J33" s="24"/>
    </row>
    <row r="34" spans="1:10" x14ac:dyDescent="0.25">
      <c r="A34" s="18"/>
      <c r="B34" s="18" t="s">
        <v>13</v>
      </c>
      <c r="C34" s="18"/>
      <c r="D34" s="19">
        <f>+'[1]FY 22 Summary by Cost Center'!$C$32</f>
        <v>168000</v>
      </c>
      <c r="E34" s="19"/>
      <c r="F34" s="19">
        <f>+D34/12*3</f>
        <v>42000</v>
      </c>
      <c r="G34" s="19"/>
      <c r="H34" s="24">
        <v>41277.449999999997</v>
      </c>
      <c r="I34" s="19"/>
      <c r="J34" s="24">
        <f t="shared" si="1"/>
        <v>-722.55000000000291</v>
      </c>
    </row>
    <row r="35" spans="1:10" x14ac:dyDescent="0.25">
      <c r="A35" s="18"/>
      <c r="B35" s="18" t="s">
        <v>35</v>
      </c>
      <c r="C35" s="18"/>
      <c r="D35" s="19">
        <f>+'[1]FY 22 Summary by Cost Center'!$C$33</f>
        <v>4924</v>
      </c>
      <c r="E35" s="19"/>
      <c r="F35" s="19">
        <f>+D35/12*3</f>
        <v>1231</v>
      </c>
      <c r="G35" s="19"/>
      <c r="H35" s="24">
        <v>1627.47</v>
      </c>
      <c r="I35" s="19"/>
      <c r="J35" s="24">
        <f t="shared" si="1"/>
        <v>396.47</v>
      </c>
    </row>
    <row r="36" spans="1:10" x14ac:dyDescent="0.25">
      <c r="A36" s="18"/>
      <c r="B36" s="18" t="s">
        <v>14</v>
      </c>
      <c r="C36" s="18"/>
      <c r="D36" s="19">
        <f>+'[1]FY 22 Summary by Cost Center'!$C$21</f>
        <v>47342</v>
      </c>
      <c r="E36" s="19"/>
      <c r="F36" s="19">
        <f>+D36/12*3</f>
        <v>11835.5</v>
      </c>
      <c r="G36" s="19"/>
      <c r="H36" s="24">
        <v>4478.21</v>
      </c>
      <c r="I36" s="19"/>
      <c r="J36" s="24">
        <f t="shared" si="1"/>
        <v>-7357.29</v>
      </c>
    </row>
    <row r="37" spans="1:10" x14ac:dyDescent="0.25">
      <c r="A37" s="18"/>
      <c r="B37" s="18" t="s">
        <v>15</v>
      </c>
      <c r="C37" s="18"/>
      <c r="D37" s="19">
        <f>+'[1]FY 22 Summary by Cost Center'!$C$18</f>
        <v>34898</v>
      </c>
      <c r="E37" s="19"/>
      <c r="F37" s="19">
        <f>+D37/12*3</f>
        <v>8724.5</v>
      </c>
      <c r="G37" s="19"/>
      <c r="H37" s="24">
        <f>994.43+2564.45</f>
        <v>3558.8799999999997</v>
      </c>
      <c r="I37" s="19"/>
      <c r="J37" s="24">
        <f t="shared" si="1"/>
        <v>-5165.6200000000008</v>
      </c>
    </row>
    <row r="38" spans="1:10" x14ac:dyDescent="0.25">
      <c r="A38" s="18"/>
      <c r="B38" s="18" t="s">
        <v>36</v>
      </c>
      <c r="C38" s="18"/>
      <c r="D38" s="19">
        <f>+'[1]FY 22 Summary by Cost Center'!$C$19+'[1]FY 22 Summary by Cost Center'!$C$20</f>
        <v>2610</v>
      </c>
      <c r="E38" s="19"/>
      <c r="F38" s="19">
        <f>+D38/12*3</f>
        <v>652.5</v>
      </c>
      <c r="G38" s="19"/>
      <c r="H38" s="24">
        <f>163.72+666.76</f>
        <v>830.48</v>
      </c>
      <c r="I38" s="19"/>
      <c r="J38" s="24">
        <f t="shared" si="1"/>
        <v>177.98000000000002</v>
      </c>
    </row>
    <row r="39" spans="1:10" x14ac:dyDescent="0.25">
      <c r="A39" s="18"/>
      <c r="B39" s="18" t="s">
        <v>16</v>
      </c>
      <c r="C39" s="18"/>
      <c r="D39" s="19">
        <f>+'[1]FY 22 Summary by Cost Center'!$C$28+'[1]FY 22 Summary by Cost Center'!$C$27+'[1]FY 22 Summary by Cost Center'!$C$24</f>
        <v>24310</v>
      </c>
      <c r="E39" s="19"/>
      <c r="F39" s="19">
        <f>+D39/12*3</f>
        <v>6077.5</v>
      </c>
      <c r="G39" s="19"/>
      <c r="H39" s="24">
        <f>1309.01+4205.04+772.5</f>
        <v>6286.55</v>
      </c>
      <c r="I39" s="19"/>
      <c r="J39" s="24">
        <f t="shared" si="1"/>
        <v>209.05000000000018</v>
      </c>
    </row>
    <row r="40" spans="1:10" x14ac:dyDescent="0.25">
      <c r="A40" s="18"/>
      <c r="B40" s="18" t="s">
        <v>17</v>
      </c>
      <c r="C40" s="18"/>
      <c r="D40" s="19">
        <f>+'[1]FY 22 Summary by Cost Center'!$C$37</f>
        <v>14800</v>
      </c>
      <c r="E40" s="19"/>
      <c r="F40" s="19">
        <f>+D40/12*3</f>
        <v>3700</v>
      </c>
      <c r="G40" s="19"/>
      <c r="H40" s="24">
        <v>677.28</v>
      </c>
      <c r="I40" s="19"/>
      <c r="J40" s="24">
        <f t="shared" si="1"/>
        <v>-3022.7200000000003</v>
      </c>
    </row>
    <row r="41" spans="1:10" x14ac:dyDescent="0.25">
      <c r="A41" s="18"/>
      <c r="B41" s="18" t="s">
        <v>18</v>
      </c>
      <c r="C41" s="18"/>
      <c r="D41" s="19">
        <f>+'[1]FY 22 Summary by Cost Center'!$C$25</f>
        <v>800</v>
      </c>
      <c r="E41" s="19"/>
      <c r="F41" s="19">
        <f>+D41/12*3</f>
        <v>200</v>
      </c>
      <c r="G41" s="19"/>
      <c r="H41" s="24">
        <v>49.74</v>
      </c>
      <c r="I41" s="19"/>
      <c r="J41" s="24">
        <f t="shared" si="1"/>
        <v>-150.26</v>
      </c>
    </row>
    <row r="42" spans="1:10" x14ac:dyDescent="0.25">
      <c r="A42" s="18"/>
      <c r="B42" s="18" t="s">
        <v>38</v>
      </c>
      <c r="C42" s="18"/>
      <c r="D42" s="19">
        <f>+'[1]FY 22 Summary by Cost Center'!$C$36+'[1]FY 22 Summary by Cost Center'!$C$34+'[1]FY 22 Summary by Cost Center'!$C$16</f>
        <v>9588</v>
      </c>
      <c r="E42" s="19"/>
      <c r="F42" s="19">
        <f>+D42/12*3</f>
        <v>2397</v>
      </c>
      <c r="G42" s="19"/>
      <c r="H42" s="24">
        <f>81+1224.6+228.96</f>
        <v>1534.56</v>
      </c>
      <c r="I42" s="19"/>
      <c r="J42" s="24">
        <f t="shared" si="1"/>
        <v>-862.44</v>
      </c>
    </row>
    <row r="43" spans="1:10" x14ac:dyDescent="0.25">
      <c r="A43" s="18"/>
      <c r="B43" s="18" t="s">
        <v>37</v>
      </c>
      <c r="C43" s="18"/>
      <c r="D43" s="19">
        <f>+'[1]FY 22 Summary by Cost Center'!$C$35</f>
        <v>61166</v>
      </c>
      <c r="E43" s="19"/>
      <c r="F43" s="19">
        <f>+D43/12*3</f>
        <v>15291.5</v>
      </c>
      <c r="G43" s="19"/>
      <c r="H43" s="24">
        <v>10225.5</v>
      </c>
      <c r="I43" s="24"/>
      <c r="J43" s="24">
        <f t="shared" si="1"/>
        <v>-5066</v>
      </c>
    </row>
    <row r="44" spans="1:10" x14ac:dyDescent="0.25">
      <c r="A44" s="18"/>
      <c r="B44" s="18" t="s">
        <v>19</v>
      </c>
      <c r="C44" s="18"/>
      <c r="D44" s="21">
        <f>+'[1]FY 22 Summary by Cost Center'!$C$17+'[1]FY 22 Summary by Cost Center'!$C$23+'[1]FY 22 Summary by Cost Center'!$C$26+'[1]FY 22 Summary by Cost Center'!$C$29+'[1]FY 22 Summary by Cost Center'!$C$30+'[1]FY 22 Summary by Cost Center'!$C$31+'[1]FY 22 Summary by Cost Center'!$C$42+'[1]FY 22 Summary by Cost Center'!$C$43+'[1]FY 22 Summary by Cost Center'!$C$46+'[1]FY 22 Summary by Cost Center'!$C$48+'[1]FY 22 Summary by Cost Center'!$C$49+'[1]FY 22 Summary by Cost Center'!$C$50+'[1]FY 22 Summary by Cost Center'!$C$51+'[1]FY 22 Summary by Cost Center'!$C$52+'[1]FY 22 Summary by Cost Center'!$C$56+'[1]FY 22 Summary by Cost Center'!$C$57+'[1]FY 22 Summary by Cost Center'!$C$58+'[1]FY 22 Summary by Cost Center'!$C$60+'[1]FY 22 Summary by Cost Center'!$C$61+'[1]FY 22 Summary by Cost Center'!$C$62+'[1]FY 22 Summary by Cost Center'!$C$63</f>
        <v>137580</v>
      </c>
      <c r="E44" s="21"/>
      <c r="F44" s="21">
        <f>+D44/12*3</f>
        <v>34395</v>
      </c>
      <c r="G44" s="21"/>
      <c r="H44" s="21">
        <f>+-280.05+627+1611.51+3162.27+667.8+-2885.36+29.88+3579.35+150+21.94+244.95</f>
        <v>6929.2899999999991</v>
      </c>
      <c r="I44" s="21"/>
      <c r="J44" s="24">
        <f t="shared" si="1"/>
        <v>-27465.71</v>
      </c>
    </row>
    <row r="45" spans="1:10" x14ac:dyDescent="0.25">
      <c r="A45" s="18"/>
      <c r="B45" s="18" t="s">
        <v>9</v>
      </c>
      <c r="C45" s="18"/>
      <c r="D45" s="19">
        <f>SUM(D34:D44)</f>
        <v>506018</v>
      </c>
      <c r="E45" s="19"/>
      <c r="F45" s="19">
        <f>SUM(F34:F44)</f>
        <v>126504.5</v>
      </c>
      <c r="G45" s="19"/>
      <c r="H45" s="19">
        <f>SUM(H34:H44)</f>
        <v>77475.409999999989</v>
      </c>
      <c r="I45" s="19"/>
      <c r="J45" s="19">
        <f>SUM(J34:J44)</f>
        <v>-49029.090000000004</v>
      </c>
    </row>
    <row r="46" spans="1:10" x14ac:dyDescent="0.25">
      <c r="A46" s="23" t="s">
        <v>20</v>
      </c>
      <c r="B46" s="18"/>
      <c r="C46" s="18"/>
      <c r="D46" s="21">
        <f>+D45+D32+D27+D23+D17</f>
        <v>5375006.4389516003</v>
      </c>
      <c r="E46" s="21"/>
      <c r="F46" s="21">
        <f>+F45+F32+F27+F23+F17</f>
        <v>1343751.6097379001</v>
      </c>
      <c r="G46" s="33"/>
      <c r="H46" s="50">
        <f>+H45+H32+H27+H23+H17</f>
        <v>1149663.94</v>
      </c>
      <c r="I46" s="33"/>
      <c r="J46" s="21">
        <f>+J45+J32+J27+J23+J17</f>
        <v>-194087.6697379</v>
      </c>
    </row>
    <row r="47" spans="1:10" x14ac:dyDescent="0.25">
      <c r="A47" s="23"/>
      <c r="B47" s="18"/>
      <c r="C47" s="18"/>
      <c r="D47" s="34"/>
      <c r="E47" s="19"/>
      <c r="F47" s="19"/>
      <c r="G47" s="19"/>
      <c r="H47" s="19"/>
      <c r="I47" s="19"/>
      <c r="J47" s="19"/>
    </row>
    <row r="48" spans="1:10" x14ac:dyDescent="0.25">
      <c r="A48" s="23" t="s">
        <v>44</v>
      </c>
      <c r="B48" s="18"/>
      <c r="C48" s="18"/>
      <c r="D48" s="33">
        <f>D12-D46</f>
        <v>60672.651048399508</v>
      </c>
      <c r="E48" s="33"/>
      <c r="F48" s="33">
        <f>F12-F46</f>
        <v>15168.162762099877</v>
      </c>
      <c r="G48" s="33"/>
      <c r="H48" s="33">
        <f>H12-H46-H11</f>
        <v>749397.1100000001</v>
      </c>
      <c r="I48" s="33"/>
      <c r="J48" s="48"/>
    </row>
    <row r="49" spans="1:10" x14ac:dyDescent="0.25">
      <c r="A49" s="18"/>
      <c r="B49" s="18"/>
      <c r="C49" s="18"/>
    </row>
    <row r="50" spans="1:10" x14ac:dyDescent="0.25">
      <c r="A50" s="18"/>
      <c r="B50" s="18"/>
      <c r="C50" s="18"/>
    </row>
    <row r="51" spans="1:10" x14ac:dyDescent="0.25">
      <c r="A51" s="18"/>
      <c r="B51" s="18"/>
      <c r="C51" s="18"/>
    </row>
    <row r="52" spans="1:10" x14ac:dyDescent="0.25">
      <c r="A52" s="39"/>
      <c r="B52" s="31"/>
      <c r="C52" s="35"/>
      <c r="D52" s="40"/>
      <c r="E52" s="40"/>
      <c r="F52" s="40"/>
      <c r="G52" s="40"/>
      <c r="H52" s="40"/>
      <c r="I52" s="40"/>
      <c r="J52" s="40"/>
    </row>
    <row r="53" spans="1:10" x14ac:dyDescent="0.25">
      <c r="A53" s="39"/>
      <c r="B53" s="31"/>
      <c r="C53" s="35"/>
      <c r="D53" s="40"/>
      <c r="E53" s="40"/>
      <c r="F53" s="40"/>
      <c r="G53" s="40"/>
      <c r="H53" s="40"/>
      <c r="I53" s="40"/>
      <c r="J53" s="40"/>
    </row>
    <row r="54" spans="1:10" x14ac:dyDescent="0.25">
      <c r="A54" s="39"/>
      <c r="B54" s="41"/>
      <c r="C54" s="35"/>
      <c r="D54" s="40"/>
      <c r="E54" s="40"/>
      <c r="F54" s="40"/>
      <c r="G54" s="40"/>
      <c r="H54" s="40"/>
      <c r="I54" s="40"/>
      <c r="J54" s="40"/>
    </row>
    <row r="55" spans="1:10" x14ac:dyDescent="0.25">
      <c r="A55" s="39"/>
      <c r="B55" s="41"/>
      <c r="C55" s="35"/>
      <c r="D55" s="40"/>
      <c r="E55" s="40"/>
      <c r="F55" s="40"/>
      <c r="G55" s="40"/>
      <c r="H55" s="40"/>
      <c r="I55" s="40"/>
      <c r="J55" s="40"/>
    </row>
    <row r="56" spans="1:10" x14ac:dyDescent="0.25">
      <c r="A56" s="39"/>
      <c r="B56" s="35"/>
      <c r="C56" s="35"/>
      <c r="D56" s="7"/>
      <c r="E56" s="40"/>
      <c r="F56" s="40"/>
      <c r="G56" s="40"/>
      <c r="H56" s="40"/>
      <c r="I56" s="40"/>
      <c r="J56" s="40"/>
    </row>
    <row r="57" spans="1:10" x14ac:dyDescent="0.25">
      <c r="A57" s="39"/>
      <c r="B57" s="31"/>
      <c r="C57" s="35"/>
      <c r="D57" s="36"/>
      <c r="E57" s="40"/>
      <c r="F57" s="40"/>
      <c r="G57" s="40"/>
      <c r="H57" s="40"/>
      <c r="I57" s="40"/>
      <c r="J57" s="40"/>
    </row>
    <row r="58" spans="1:10" x14ac:dyDescent="0.25">
      <c r="A58" s="26"/>
      <c r="B58" s="35"/>
      <c r="C58" s="35"/>
      <c r="D58" s="42"/>
      <c r="E58" s="40"/>
      <c r="F58" s="40"/>
      <c r="G58" s="40"/>
      <c r="H58" s="40"/>
      <c r="I58" s="40"/>
      <c r="J58" s="43"/>
    </row>
    <row r="59" spans="1:10" x14ac:dyDescent="0.25">
      <c r="A59" s="35"/>
      <c r="B59" s="35"/>
      <c r="C59" s="35"/>
      <c r="D59" s="31"/>
      <c r="E59" s="35"/>
      <c r="F59" s="40"/>
      <c r="G59" s="40"/>
      <c r="H59" s="40"/>
      <c r="I59" s="40"/>
      <c r="J59" s="25"/>
    </row>
    <row r="60" spans="1:10" x14ac:dyDescent="0.25">
      <c r="A60" s="35"/>
      <c r="B60" s="35"/>
      <c r="C60" s="35"/>
      <c r="D60" s="31"/>
      <c r="E60" s="35"/>
      <c r="F60" s="40"/>
      <c r="G60" s="40"/>
      <c r="H60" s="40"/>
      <c r="I60" s="40"/>
      <c r="J60" s="25"/>
    </row>
    <row r="61" spans="1:10" x14ac:dyDescent="0.25">
      <c r="A61" s="39"/>
      <c r="B61" s="35"/>
      <c r="C61" s="35"/>
      <c r="D61" s="31"/>
      <c r="E61" s="35"/>
      <c r="F61" s="40"/>
      <c r="G61" s="44"/>
      <c r="H61" s="40"/>
      <c r="I61" s="44"/>
      <c r="J61" s="44"/>
    </row>
    <row r="62" spans="1:10" x14ac:dyDescent="0.25">
      <c r="A62" s="35"/>
      <c r="B62" s="35"/>
      <c r="C62" s="35"/>
      <c r="D62" s="45"/>
      <c r="E62" s="35"/>
      <c r="F62" s="40"/>
      <c r="G62" s="44"/>
      <c r="H62" s="40"/>
      <c r="I62" s="44"/>
      <c r="J62" s="44"/>
    </row>
    <row r="63" spans="1:10" x14ac:dyDescent="0.25">
      <c r="A63" s="35"/>
      <c r="B63" s="35"/>
      <c r="C63" s="35"/>
      <c r="D63" s="46"/>
      <c r="E63" s="35"/>
      <c r="F63" s="40"/>
      <c r="G63" s="44"/>
      <c r="H63" s="40"/>
      <c r="I63" s="44"/>
      <c r="J63" s="44"/>
    </row>
    <row r="64" spans="1:10" x14ac:dyDescent="0.25">
      <c r="A64" s="35"/>
      <c r="B64" s="35"/>
      <c r="C64" s="35"/>
      <c r="D64" s="35"/>
      <c r="E64" s="35"/>
      <c r="F64" s="46"/>
      <c r="G64" s="44"/>
      <c r="H64" s="44"/>
      <c r="I64" s="44"/>
      <c r="J64" s="44"/>
    </row>
    <row r="65" spans="1:10" x14ac:dyDescent="0.25">
      <c r="A65" s="39"/>
      <c r="B65" s="35"/>
      <c r="C65" s="35"/>
      <c r="D65" s="44"/>
      <c r="E65" s="35"/>
      <c r="F65" s="47"/>
      <c r="G65" s="44"/>
      <c r="H65" s="44"/>
      <c r="I65" s="44"/>
      <c r="J65" s="44"/>
    </row>
    <row r="66" spans="1:10" x14ac:dyDescent="0.25">
      <c r="A66" s="39"/>
      <c r="B66" s="35"/>
      <c r="C66" s="35"/>
      <c r="D66" s="35"/>
      <c r="E66" s="35"/>
      <c r="F66" s="35"/>
      <c r="G66" s="35"/>
      <c r="H66" s="35"/>
      <c r="I66" s="35"/>
      <c r="J66" s="35"/>
    </row>
    <row r="67" spans="1:10" x14ac:dyDescent="0.25">
      <c r="A67" s="35"/>
      <c r="B67" s="35"/>
      <c r="C67" s="35"/>
      <c r="D67" s="35"/>
      <c r="E67" s="35"/>
      <c r="F67" s="35"/>
      <c r="G67" s="35"/>
      <c r="H67" s="35"/>
      <c r="I67" s="35"/>
      <c r="J67" s="35"/>
    </row>
    <row r="68" spans="1:10" x14ac:dyDescent="0.25">
      <c r="A68" s="35"/>
      <c r="B68" s="35"/>
      <c r="C68" s="35"/>
      <c r="D68" s="35"/>
      <c r="E68" s="35"/>
      <c r="F68" s="35"/>
      <c r="G68" s="35"/>
      <c r="H68" s="35"/>
      <c r="I68" s="35"/>
      <c r="J68" s="35"/>
    </row>
    <row r="84" spans="2:10" x14ac:dyDescent="0.25">
      <c r="B84" s="27"/>
      <c r="C84" s="28"/>
      <c r="D84" s="27"/>
      <c r="E84" s="27"/>
      <c r="F84" s="29"/>
      <c r="G84" s="27"/>
      <c r="H84" s="29"/>
      <c r="I84" s="27"/>
      <c r="J84" s="29"/>
    </row>
  </sheetData>
  <pageMargins left="0.2" right="0.2" top="0.75" bottom="0.25" header="0.3" footer="0.3"/>
  <pageSetup orientation="portrait" horizontalDpi="4294967293" r:id="rId1"/>
  <rowBreaks count="1" manualBreakCount="1">
    <brk id="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</dc:creator>
  <cp:lastModifiedBy>Gail Watson</cp:lastModifiedBy>
  <cp:lastPrinted>2021-02-11T01:08:04Z</cp:lastPrinted>
  <dcterms:created xsi:type="dcterms:W3CDTF">2020-10-12T14:47:16Z</dcterms:created>
  <dcterms:modified xsi:type="dcterms:W3CDTF">2022-04-08T19:43:24Z</dcterms:modified>
</cp:coreProperties>
</file>